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orben\"/>
    </mc:Choice>
  </mc:AlternateContent>
  <xr:revisionPtr revIDLastSave="0" documentId="13_ncr:1_{E90AAE4C-71F4-4407-95D4-BB870786E16F}" xr6:coauthVersionLast="45" xr6:coauthVersionMax="45" xr10:uidLastSave="{00000000-0000-0000-0000-000000000000}"/>
  <bookViews>
    <workbookView xWindow="-120" yWindow="-120" windowWidth="29040" windowHeight="15750" xr2:uid="{00000000-000D-0000-FFFF-FFFF00000000}"/>
  </bookViews>
  <sheets>
    <sheet name="2019" sheetId="1" r:id="rId1"/>
    <sheet name="Sheet2" sheetId="2" r:id="rId2"/>
    <sheet name="Sheet3" sheetId="3" r:id="rId3"/>
  </sheets>
  <calcPr calcId="191029" iterate="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H90" i="1"/>
  <c r="C9" i="1"/>
  <c r="C14" i="1"/>
  <c r="C17" i="1"/>
  <c r="C21" i="1"/>
  <c r="C27" i="1"/>
  <c r="C30" i="1"/>
  <c r="C103" i="1"/>
  <c r="C102" i="1"/>
  <c r="E27" i="1"/>
  <c r="E30" i="1"/>
  <c r="G8" i="1"/>
  <c r="F8" i="1"/>
  <c r="E8" i="1"/>
  <c r="G90" i="1"/>
  <c r="F90" i="1"/>
  <c r="E90" i="1"/>
  <c r="C76" i="1"/>
  <c r="C77" i="1"/>
  <c r="C70" i="1"/>
  <c r="C71" i="1"/>
  <c r="C79" i="1"/>
  <c r="D76" i="1"/>
  <c r="D77" i="1"/>
  <c r="D70" i="1"/>
  <c r="D71" i="1"/>
  <c r="D79" i="1"/>
  <c r="D9" i="1"/>
  <c r="D14" i="1"/>
  <c r="D107" i="1"/>
  <c r="E101" i="1"/>
  <c r="E107" i="1"/>
  <c r="F107" i="1"/>
  <c r="C107" i="1"/>
  <c r="D17" i="1"/>
  <c r="D21" i="1"/>
  <c r="D27" i="1"/>
  <c r="D30" i="1"/>
  <c r="D109" i="1"/>
  <c r="D111" i="1"/>
  <c r="C109" i="1"/>
  <c r="C111" i="1"/>
  <c r="C99" i="1"/>
  <c r="D99" i="1"/>
  <c r="C100" i="1"/>
  <c r="D100" i="1"/>
  <c r="C101" i="1"/>
  <c r="D101" i="1"/>
  <c r="D102" i="1"/>
  <c r="D103" i="1"/>
  <c r="D90" i="1"/>
  <c r="C90" i="1"/>
  <c r="C26" i="1"/>
  <c r="D26" i="1"/>
  <c r="D57" i="1"/>
  <c r="C57" i="1"/>
  <c r="C46" i="1"/>
  <c r="D46" i="1"/>
  <c r="D50" i="1"/>
  <c r="C50" i="1"/>
  <c r="C47" i="1"/>
  <c r="D47" i="1"/>
  <c r="C40" i="1"/>
  <c r="C41" i="1"/>
  <c r="C52" i="1"/>
  <c r="D40" i="1"/>
  <c r="D41" i="1"/>
  <c r="D52" i="1"/>
  <c r="C60" i="1"/>
  <c r="D60" i="1"/>
  <c r="C62" i="1"/>
  <c r="D62" i="1"/>
  <c r="C81" i="1"/>
  <c r="D81" i="1"/>
  <c r="E76" i="1"/>
  <c r="E70" i="1"/>
  <c r="E57" i="1"/>
  <c r="E50" i="1"/>
  <c r="E46" i="1"/>
  <c r="E40" i="1"/>
  <c r="E100" i="1"/>
  <c r="E99" i="1"/>
  <c r="E77" i="1"/>
  <c r="E71" i="1"/>
  <c r="E79" i="1"/>
  <c r="E81" i="1"/>
  <c r="E60" i="1"/>
  <c r="E47" i="1"/>
  <c r="E41" i="1"/>
  <c r="E52" i="1"/>
  <c r="E62" i="1"/>
  <c r="E26" i="1"/>
  <c r="F76" i="1"/>
  <c r="F70" i="1"/>
  <c r="F57" i="1"/>
  <c r="F46" i="1"/>
  <c r="F47" i="1"/>
  <c r="F40" i="1"/>
  <c r="F41" i="1"/>
  <c r="F101" i="1"/>
  <c r="F100" i="1"/>
  <c r="F99" i="1"/>
  <c r="F77" i="1"/>
  <c r="F71" i="1"/>
  <c r="F79" i="1"/>
  <c r="F81" i="1"/>
  <c r="F60" i="1"/>
  <c r="F52" i="1"/>
  <c r="F62" i="1"/>
  <c r="F26" i="1"/>
  <c r="G99" i="1"/>
  <c r="G76" i="1"/>
  <c r="G77" i="1"/>
  <c r="G70" i="1"/>
  <c r="G71" i="1"/>
  <c r="G57" i="1"/>
  <c r="G60" i="1"/>
  <c r="G46" i="1"/>
  <c r="G47" i="1"/>
  <c r="G40" i="1"/>
  <c r="G41" i="1"/>
  <c r="G26" i="1"/>
  <c r="G100" i="1"/>
  <c r="G52" i="1"/>
  <c r="G79" i="1"/>
  <c r="G81" i="1"/>
  <c r="G62" i="1"/>
  <c r="H116" i="1"/>
  <c r="H117" i="1"/>
  <c r="H77" i="1"/>
  <c r="H71" i="1"/>
  <c r="H60" i="1"/>
  <c r="H47" i="1"/>
  <c r="H41" i="1"/>
  <c r="H52" i="1"/>
  <c r="H62" i="1"/>
  <c r="H79" i="1"/>
  <c r="H81" i="1"/>
  <c r="E103" i="1"/>
  <c r="G107" i="1"/>
  <c r="G101" i="1"/>
  <c r="E109" i="1"/>
  <c r="E111" i="1"/>
  <c r="E102" i="1"/>
  <c r="G102" i="1"/>
  <c r="G27" i="1"/>
  <c r="G30" i="1"/>
  <c r="F102" i="1"/>
  <c r="F27" i="1"/>
  <c r="F30" i="1"/>
  <c r="G109" i="1"/>
  <c r="G111" i="1"/>
  <c r="G103" i="1"/>
  <c r="F109" i="1"/>
  <c r="F111" i="1"/>
  <c r="F103" i="1"/>
</calcChain>
</file>

<file path=xl/sharedStrings.xml><?xml version="1.0" encoding="utf-8"?>
<sst xmlns="http://schemas.openxmlformats.org/spreadsheetml/2006/main" count="85" uniqueCount="78">
  <si>
    <t xml:space="preserve">For the year ended 31 December </t>
  </si>
  <si>
    <t>CONSOLIDATED INCOME STATEMENT</t>
  </si>
  <si>
    <t>(audited)</t>
  </si>
  <si>
    <t>Net sales</t>
  </si>
  <si>
    <t>Cost of goods sold</t>
  </si>
  <si>
    <t>Gross profit</t>
  </si>
  <si>
    <t>Other external costs</t>
  </si>
  <si>
    <t>Staff costs</t>
  </si>
  <si>
    <t>Other income</t>
  </si>
  <si>
    <t>Depreciation</t>
  </si>
  <si>
    <t>EBITA</t>
  </si>
  <si>
    <t>Amortisation</t>
  </si>
  <si>
    <t>EBIT</t>
  </si>
  <si>
    <t>Share of profit of associated companies, net of tax</t>
  </si>
  <si>
    <t>Financial income</t>
  </si>
  <si>
    <t>Financial costs</t>
  </si>
  <si>
    <t>Profit before tax</t>
  </si>
  <si>
    <t>Income tax</t>
  </si>
  <si>
    <t>Net profit for the period</t>
  </si>
  <si>
    <t>As at 31 December</t>
  </si>
  <si>
    <t>BALANCE SHEET DATA</t>
  </si>
  <si>
    <t>ASSETS</t>
  </si>
  <si>
    <t>Intangible assets</t>
  </si>
  <si>
    <t>Goodwill</t>
  </si>
  <si>
    <t>Trademarks</t>
  </si>
  <si>
    <t>Other intangible assets</t>
  </si>
  <si>
    <t>Total intangible assets</t>
  </si>
  <si>
    <t>Property, plant and equipment</t>
  </si>
  <si>
    <t>Land and buildings</t>
  </si>
  <si>
    <t>Plant and machinery</t>
  </si>
  <si>
    <t xml:space="preserve">Other property, plant and equipment </t>
  </si>
  <si>
    <t xml:space="preserve">Total property, plant and equipment </t>
  </si>
  <si>
    <t>Other non-current assets</t>
  </si>
  <si>
    <t>Total other non-current assets</t>
  </si>
  <si>
    <t>Current assets</t>
  </si>
  <si>
    <t>Inventories</t>
  </si>
  <si>
    <t>Trade receivables</t>
  </si>
  <si>
    <t>Other receivables</t>
  </si>
  <si>
    <t>Cash and cash equivalent</t>
  </si>
  <si>
    <t>Total assets</t>
  </si>
  <si>
    <t>EQUITY AND LIABILITIES</t>
  </si>
  <si>
    <t>Non-current liabilities</t>
  </si>
  <si>
    <t>Bank loans</t>
  </si>
  <si>
    <t>Deferred income tax liabilities</t>
  </si>
  <si>
    <t>Other non-current liabilities</t>
  </si>
  <si>
    <t>Current liabilities</t>
  </si>
  <si>
    <t>Trade payables</t>
  </si>
  <si>
    <t>Other current liabilities</t>
  </si>
  <si>
    <t>Total liabilities</t>
  </si>
  <si>
    <t>Total equity and liabilities</t>
  </si>
  <si>
    <t>CONSOLIDATED CASH FLOW STATEMENT DATA</t>
  </si>
  <si>
    <t>Net cash flow for the period</t>
  </si>
  <si>
    <t>Cash and cash equivalent, net at 1 January</t>
  </si>
  <si>
    <t>Cash and cash equivalent, net at the end of the period</t>
  </si>
  <si>
    <t>Net financial costs</t>
  </si>
  <si>
    <t>EBITDA margin (%)</t>
  </si>
  <si>
    <t>EBIT margin (%)</t>
  </si>
  <si>
    <t>Gross margin (%)</t>
  </si>
  <si>
    <t>Net profit margin (%)</t>
  </si>
  <si>
    <t>Net debt</t>
  </si>
  <si>
    <t>Net sales growth (%)</t>
  </si>
  <si>
    <t>Dividend payout ratio</t>
  </si>
  <si>
    <t>Non-current assets</t>
  </si>
  <si>
    <t>Equity</t>
  </si>
  <si>
    <t xml:space="preserve">KEY PERFORMANCE INDICATORS </t>
  </si>
  <si>
    <r>
      <t>Organic net sales growth (%)</t>
    </r>
    <r>
      <rPr>
        <i/>
        <vertAlign val="superscript"/>
        <sz val="11"/>
        <color theme="1"/>
        <rFont val="Calibri"/>
        <family val="2"/>
        <scheme val="minor"/>
      </rPr>
      <t>(1)</t>
    </r>
  </si>
  <si>
    <t xml:space="preserve">(1) Organic net sales growth is adjusted for currency fluctuations and acquisitions </t>
  </si>
  <si>
    <t>(2) Extraordinary dividends: September 2015 of DKK 900m and November 2017 of DKK 350 million</t>
  </si>
  <si>
    <t>Special items</t>
  </si>
  <si>
    <t>Cash flow from operating activities</t>
  </si>
  <si>
    <t>Free cash flow</t>
  </si>
  <si>
    <r>
      <t xml:space="preserve">Dividend per share </t>
    </r>
    <r>
      <rPr>
        <vertAlign val="superscript"/>
        <sz val="11"/>
        <color theme="1"/>
        <rFont val="Calibri"/>
        <family val="2"/>
        <scheme val="minor"/>
      </rPr>
      <t>(2)</t>
    </r>
  </si>
  <si>
    <t>Basic earnings per share (EPS)</t>
  </si>
  <si>
    <t>Net debt/EBITDA bef. special items</t>
  </si>
  <si>
    <t>EBITDA before special items</t>
  </si>
  <si>
    <t>Free cash before acquisitions</t>
  </si>
  <si>
    <t>Investing activities</t>
  </si>
  <si>
    <t>Financing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</si>
</sst>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0.0&quot;x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9">
    <xf numFmtId="0" fontId="0" fillId="0" borderId="0" xfId="0"/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164" fontId="0" fillId="2" borderId="0" xfId="0" applyNumberFormat="1" applyFill="1" applyAlignment="1">
      <alignment vertical="center"/>
    </xf>
    <xf numFmtId="0" fontId="0" fillId="2" borderId="1" xfId="0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164" fontId="1" fillId="2" borderId="0" xfId="0" applyNumberFormat="1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1" fillId="2" borderId="0" xfId="0" applyNumberFormat="1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/>
    </xf>
    <xf numFmtId="164" fontId="0" fillId="2" borderId="4" xfId="0" applyNumberFormat="1" applyFill="1" applyBorder="1" applyAlignment="1">
      <alignment vertical="center"/>
    </xf>
    <xf numFmtId="9" fontId="3" fillId="2" borderId="0" xfId="1" applyFont="1" applyFill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3" fillId="2" borderId="0" xfId="1" applyNumberFormat="1" applyFont="1" applyFill="1" applyAlignment="1">
      <alignment vertical="center"/>
    </xf>
    <xf numFmtId="0" fontId="3" fillId="2" borderId="0" xfId="0" applyFont="1" applyFill="1" applyAlignment="1">
      <alignment horizontal="left" vertical="center" wrapText="1" indent="1"/>
    </xf>
    <xf numFmtId="0" fontId="3" fillId="2" borderId="0" xfId="0" applyFont="1" applyFill="1" applyBorder="1" applyAlignment="1">
      <alignment horizontal="left" vertical="center" wrapText="1" indent="1"/>
    </xf>
    <xf numFmtId="166" fontId="0" fillId="2" borderId="0" xfId="0" applyNumberFormat="1" applyFill="1" applyAlignment="1">
      <alignment vertical="center"/>
    </xf>
    <xf numFmtId="0" fontId="1" fillId="3" borderId="3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2" fontId="0" fillId="2" borderId="0" xfId="0" applyNumberFormat="1" applyFill="1" applyAlignment="1">
      <alignment vertical="center"/>
    </xf>
    <xf numFmtId="49" fontId="0" fillId="2" borderId="0" xfId="0" applyNumberFormat="1" applyFont="1" applyFill="1" applyBorder="1" applyAlignment="1">
      <alignment horizontal="left" vertical="center" wrapText="1"/>
    </xf>
    <xf numFmtId="3" fontId="0" fillId="2" borderId="0" xfId="0" applyNumberFormat="1" applyFill="1" applyAlignment="1">
      <alignment vertical="center"/>
    </xf>
    <xf numFmtId="9" fontId="1" fillId="2" borderId="0" xfId="1" applyFont="1" applyFill="1" applyAlignment="1">
      <alignment horizontal="center" vertical="center"/>
    </xf>
    <xf numFmtId="0" fontId="0" fillId="2" borderId="0" xfId="0" applyFont="1" applyFill="1" applyAlignment="1">
      <alignment vertical="center" wrapText="1"/>
    </xf>
    <xf numFmtId="0" fontId="0" fillId="2" borderId="0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3" fontId="0" fillId="2" borderId="0" xfId="0" applyNumberFormat="1" applyFont="1" applyFill="1" applyAlignment="1">
      <alignment vertical="center"/>
    </xf>
    <xf numFmtId="3" fontId="1" fillId="2" borderId="0" xfId="0" applyNumberFormat="1" applyFont="1" applyFill="1" applyAlignment="1">
      <alignment vertical="center"/>
    </xf>
    <xf numFmtId="3" fontId="0" fillId="2" borderId="1" xfId="0" applyNumberFormat="1" applyFill="1" applyBorder="1" applyAlignment="1">
      <alignment vertical="center"/>
    </xf>
    <xf numFmtId="3" fontId="0" fillId="2" borderId="0" xfId="0" applyNumberFormat="1" applyFont="1" applyFill="1" applyBorder="1" applyAlignment="1">
      <alignment vertical="center"/>
    </xf>
    <xf numFmtId="3" fontId="0" fillId="2" borderId="0" xfId="0" applyNumberFormat="1" applyFill="1" applyBorder="1" applyAlignment="1">
      <alignment vertical="center"/>
    </xf>
    <xf numFmtId="3" fontId="1" fillId="2" borderId="0" xfId="0" applyNumberFormat="1" applyFont="1" applyFill="1" applyBorder="1" applyAlignment="1">
      <alignment vertical="center"/>
    </xf>
    <xf numFmtId="3" fontId="0" fillId="2" borderId="1" xfId="0" applyNumberFormat="1" applyFont="1" applyFill="1" applyBorder="1" applyAlignment="1">
      <alignment vertical="center"/>
    </xf>
    <xf numFmtId="49" fontId="3" fillId="2" borderId="0" xfId="0" applyNumberFormat="1" applyFont="1" applyFill="1" applyBorder="1" applyAlignment="1">
      <alignment horizontal="left" vertical="center" wrapText="1"/>
    </xf>
    <xf numFmtId="164" fontId="3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3" fontId="6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3" fontId="6" fillId="2" borderId="1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9" fontId="1" fillId="2" borderId="0" xfId="1" applyFont="1" applyFill="1" applyAlignment="1">
      <alignment horizontal="center" vertical="center"/>
    </xf>
    <xf numFmtId="164" fontId="0" fillId="2" borderId="0" xfId="0" applyNumberFormat="1" applyFill="1" applyBorder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vertical="center" wrapText="1"/>
    </xf>
    <xf numFmtId="9" fontId="1" fillId="2" borderId="0" xfId="1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9" fontId="1" fillId="2" borderId="0" xfId="1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9" fontId="1" fillId="2" borderId="0" xfId="1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165" fontId="0" fillId="2" borderId="0" xfId="1" applyNumberFormat="1" applyFont="1" applyFill="1" applyAlignment="1">
      <alignment horizontal="right" vertical="center"/>
    </xf>
    <xf numFmtId="9" fontId="0" fillId="2" borderId="0" xfId="1" applyNumberFormat="1" applyFont="1" applyFill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49" fontId="0" fillId="2" borderId="0" xfId="0" applyNumberFormat="1" applyFill="1" applyAlignment="1">
      <alignment vertical="center" wrapText="1"/>
    </xf>
    <xf numFmtId="0" fontId="1" fillId="2" borderId="0" xfId="0" applyFont="1" applyFill="1" applyBorder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9" fontId="1" fillId="2" borderId="0" xfId="1" applyFont="1" applyFill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7"/>
  <sheetViews>
    <sheetView tabSelected="1" workbookViewId="0">
      <selection activeCell="G101" sqref="G101"/>
    </sheetView>
  </sheetViews>
  <sheetFormatPr defaultColWidth="9.140625" defaultRowHeight="15" outlineLevelRow="2" x14ac:dyDescent="0.25"/>
  <cols>
    <col min="1" max="1" width="33.5703125" style="1" customWidth="1"/>
    <col min="2" max="2" width="1.85546875" style="5" customWidth="1"/>
    <col min="3" max="7" width="11.7109375" style="5" customWidth="1"/>
    <col min="8" max="8" width="11.7109375" style="5" hidden="1" customWidth="1"/>
    <col min="9" max="16384" width="9.140625" style="3"/>
  </cols>
  <sheetData>
    <row r="1" spans="1:10" ht="39" customHeight="1" x14ac:dyDescent="0.25">
      <c r="A1" s="6"/>
      <c r="B1" s="2"/>
      <c r="C1" s="2"/>
      <c r="D1" s="63" t="s">
        <v>0</v>
      </c>
      <c r="E1" s="63"/>
      <c r="F1" s="63"/>
      <c r="G1" s="58"/>
    </row>
    <row r="2" spans="1:10" ht="30" x14ac:dyDescent="0.25">
      <c r="A2" s="21" t="s">
        <v>1</v>
      </c>
      <c r="B2" s="48"/>
      <c r="C2" s="48">
        <v>2019</v>
      </c>
      <c r="D2" s="48">
        <v>2018</v>
      </c>
      <c r="E2" s="48">
        <v>2017</v>
      </c>
      <c r="F2" s="48">
        <v>2016</v>
      </c>
      <c r="G2" s="22">
        <v>2015</v>
      </c>
      <c r="H2" s="48">
        <v>2014</v>
      </c>
    </row>
    <row r="3" spans="1:10" x14ac:dyDescent="0.25">
      <c r="B3" s="4"/>
      <c r="C3" s="55"/>
      <c r="D3" s="55"/>
      <c r="E3" s="51" t="s">
        <v>2</v>
      </c>
      <c r="F3" s="52"/>
    </row>
    <row r="4" spans="1:10" x14ac:dyDescent="0.25">
      <c r="B4" s="65"/>
      <c r="C4" s="65"/>
      <c r="D4" s="65"/>
      <c r="E4" s="65"/>
      <c r="F4" s="65"/>
      <c r="G4" s="65"/>
      <c r="H4" s="65"/>
    </row>
    <row r="5" spans="1:10" ht="3.75" customHeight="1" x14ac:dyDescent="0.25">
      <c r="B5" s="4"/>
      <c r="C5" s="55"/>
      <c r="D5" s="55"/>
      <c r="E5" s="54"/>
      <c r="F5" s="52"/>
      <c r="G5" s="45"/>
      <c r="H5" s="4"/>
    </row>
    <row r="6" spans="1:10" x14ac:dyDescent="0.25">
      <c r="A6" s="27" t="s">
        <v>3</v>
      </c>
      <c r="B6" s="31"/>
      <c r="C6" s="31">
        <v>6870.3</v>
      </c>
      <c r="D6" s="31">
        <v>6717.5</v>
      </c>
      <c r="E6" s="31">
        <v>6463.5</v>
      </c>
      <c r="F6" s="31">
        <v>6745.6</v>
      </c>
      <c r="G6" s="31">
        <v>6732.3</v>
      </c>
      <c r="H6" s="25">
        <v>6126</v>
      </c>
    </row>
    <row r="7" spans="1:10" ht="3.75" hidden="1" customHeight="1" outlineLevel="1" x14ac:dyDescent="0.25">
      <c r="A7" s="7"/>
      <c r="B7" s="32"/>
      <c r="C7" s="32"/>
      <c r="D7" s="32"/>
      <c r="E7" s="32"/>
      <c r="F7" s="32"/>
      <c r="G7" s="32"/>
      <c r="H7" s="32"/>
    </row>
    <row r="8" spans="1:10" hidden="1" outlineLevel="1" x14ac:dyDescent="0.25">
      <c r="A8" s="6" t="s">
        <v>4</v>
      </c>
      <c r="B8" s="33"/>
      <c r="C8" s="33">
        <v>-3556.4</v>
      </c>
      <c r="D8" s="33">
        <v>-3498.1</v>
      </c>
      <c r="E8" s="33">
        <f>-3368.2+39</f>
        <v>-3329.2</v>
      </c>
      <c r="F8" s="33">
        <f>-3520.7+89</f>
        <v>-3431.7</v>
      </c>
      <c r="G8" s="33">
        <f>-3493.6+43</f>
        <v>-3450.6</v>
      </c>
      <c r="H8" s="33"/>
    </row>
    <row r="9" spans="1:10" collapsed="1" x14ac:dyDescent="0.25">
      <c r="A9" s="27" t="s">
        <v>5</v>
      </c>
      <c r="B9" s="31"/>
      <c r="C9" s="31">
        <f t="shared" ref="C9" si="0">SUM(C6:C8)</f>
        <v>3313.9</v>
      </c>
      <c r="D9" s="31">
        <f t="shared" ref="D9:H9" si="1">SUM(D6:D8)</f>
        <v>3219.4</v>
      </c>
      <c r="E9" s="31">
        <f t="shared" si="1"/>
        <v>3134.3</v>
      </c>
      <c r="F9" s="31">
        <f t="shared" si="1"/>
        <v>3313.9000000000005</v>
      </c>
      <c r="G9" s="31">
        <f t="shared" si="1"/>
        <v>3281.7000000000003</v>
      </c>
      <c r="H9" s="31">
        <f t="shared" si="1"/>
        <v>6126</v>
      </c>
      <c r="J9" s="25"/>
    </row>
    <row r="10" spans="1:10" ht="3.75" hidden="1" customHeight="1" outlineLevel="1" x14ac:dyDescent="0.25">
      <c r="A10" s="7"/>
      <c r="B10" s="32"/>
      <c r="C10" s="32"/>
      <c r="D10" s="32"/>
      <c r="E10" s="32"/>
      <c r="F10" s="32"/>
      <c r="G10" s="32"/>
      <c r="H10" s="32"/>
    </row>
    <row r="11" spans="1:10" hidden="1" outlineLevel="1" x14ac:dyDescent="0.25">
      <c r="A11" s="1" t="s">
        <v>6</v>
      </c>
      <c r="B11" s="25"/>
      <c r="C11" s="25">
        <v>-1069.7</v>
      </c>
      <c r="D11" s="25">
        <v>-1142.8</v>
      </c>
      <c r="E11" s="25"/>
      <c r="F11" s="25"/>
      <c r="G11" s="25"/>
      <c r="H11" s="25"/>
    </row>
    <row r="12" spans="1:10" hidden="1" outlineLevel="1" x14ac:dyDescent="0.25">
      <c r="A12" s="1" t="s">
        <v>7</v>
      </c>
      <c r="B12" s="25"/>
      <c r="C12" s="25">
        <v>-737.1</v>
      </c>
      <c r="D12" s="25">
        <v>-772.3</v>
      </c>
      <c r="E12" s="25"/>
      <c r="F12" s="25"/>
      <c r="G12" s="25"/>
      <c r="H12" s="25"/>
    </row>
    <row r="13" spans="1:10" hidden="1" outlineLevel="1" x14ac:dyDescent="0.25">
      <c r="A13" s="6" t="s">
        <v>8</v>
      </c>
      <c r="B13" s="33"/>
      <c r="C13" s="33">
        <v>5.9</v>
      </c>
      <c r="D13" s="33"/>
      <c r="E13" s="33"/>
      <c r="F13" s="33"/>
      <c r="G13" s="33"/>
      <c r="H13" s="33"/>
    </row>
    <row r="14" spans="1:10" collapsed="1" x14ac:dyDescent="0.25">
      <c r="A14" s="28" t="s">
        <v>74</v>
      </c>
      <c r="B14" s="34"/>
      <c r="C14" s="34">
        <f t="shared" ref="C14" si="2">SUM(C9:C13)</f>
        <v>1513</v>
      </c>
      <c r="D14" s="34">
        <f t="shared" ref="D14" si="3">SUM(D9:D13)</f>
        <v>1304.3000000000004</v>
      </c>
      <c r="E14" s="34">
        <v>1283.3</v>
      </c>
      <c r="F14" s="34">
        <v>1440.3</v>
      </c>
      <c r="G14" s="34">
        <v>1384.5</v>
      </c>
      <c r="H14" s="34"/>
    </row>
    <row r="15" spans="1:10" ht="3" hidden="1" customHeight="1" outlineLevel="1" x14ac:dyDescent="0.25">
      <c r="A15" s="10"/>
      <c r="B15" s="35"/>
      <c r="C15" s="35"/>
      <c r="D15" s="35"/>
      <c r="E15" s="35"/>
      <c r="F15" s="35"/>
      <c r="G15" s="35"/>
      <c r="H15" s="35"/>
    </row>
    <row r="16" spans="1:10" hidden="1" outlineLevel="1" x14ac:dyDescent="0.25">
      <c r="A16" s="6" t="s">
        <v>9</v>
      </c>
      <c r="B16" s="33"/>
      <c r="C16" s="33">
        <v>-215.1</v>
      </c>
      <c r="D16" s="33">
        <v>-116.7</v>
      </c>
      <c r="E16" s="33"/>
      <c r="F16" s="33"/>
      <c r="G16" s="33"/>
      <c r="H16" s="33"/>
    </row>
    <row r="17" spans="1:8" hidden="1" outlineLevel="1" x14ac:dyDescent="0.25">
      <c r="A17" s="28" t="s">
        <v>10</v>
      </c>
      <c r="B17" s="34"/>
      <c r="C17" s="34">
        <f t="shared" ref="C17:D17" si="4">SUM(C14:C16)</f>
        <v>1297.9000000000001</v>
      </c>
      <c r="D17" s="34">
        <f t="shared" si="4"/>
        <v>1187.6000000000004</v>
      </c>
      <c r="E17" s="34"/>
      <c r="F17" s="34"/>
      <c r="G17" s="34"/>
      <c r="H17" s="34"/>
    </row>
    <row r="18" spans="1:8" ht="7.5" hidden="1" customHeight="1" outlineLevel="1" x14ac:dyDescent="0.25">
      <c r="A18" s="9"/>
      <c r="B18" s="36"/>
      <c r="C18" s="36"/>
      <c r="D18" s="36"/>
      <c r="E18" s="36"/>
      <c r="F18" s="36"/>
      <c r="G18" s="36"/>
      <c r="H18" s="36"/>
    </row>
    <row r="19" spans="1:8" ht="15" hidden="1" customHeight="1" outlineLevel="1" x14ac:dyDescent="0.25">
      <c r="A19" s="10" t="s">
        <v>11</v>
      </c>
      <c r="B19" s="35"/>
      <c r="C19" s="35">
        <v>-187.3</v>
      </c>
      <c r="D19" s="35">
        <v>-184.1</v>
      </c>
      <c r="E19" s="35"/>
      <c r="F19" s="35"/>
      <c r="G19" s="35"/>
      <c r="H19" s="33"/>
    </row>
    <row r="20" spans="1:8" collapsed="1" x14ac:dyDescent="0.25">
      <c r="A20" s="10" t="s">
        <v>68</v>
      </c>
      <c r="B20" s="35"/>
      <c r="C20" s="35">
        <v>-133.4</v>
      </c>
      <c r="D20" s="35">
        <v>-266</v>
      </c>
      <c r="E20" s="35">
        <v>-69</v>
      </c>
      <c r="F20" s="35">
        <v>-200</v>
      </c>
      <c r="G20" s="35">
        <v>-151</v>
      </c>
      <c r="H20" s="33"/>
    </row>
    <row r="21" spans="1:8" x14ac:dyDescent="0.25">
      <c r="A21" s="28" t="s">
        <v>12</v>
      </c>
      <c r="B21" s="34"/>
      <c r="C21" s="34">
        <f t="shared" ref="C21:D21" si="5">SUM(C17:C20)</f>
        <v>977.20000000000016</v>
      </c>
      <c r="D21" s="34">
        <f t="shared" si="5"/>
        <v>737.50000000000034</v>
      </c>
      <c r="E21" s="34">
        <v>913</v>
      </c>
      <c r="F21" s="34">
        <v>957</v>
      </c>
      <c r="G21" s="34">
        <v>941</v>
      </c>
      <c r="H21" s="34"/>
    </row>
    <row r="22" spans="1:8" ht="3.75" hidden="1" customHeight="1" outlineLevel="1" x14ac:dyDescent="0.25">
      <c r="A22" s="9"/>
      <c r="B22" s="36"/>
      <c r="C22" s="36"/>
      <c r="D22" s="36"/>
      <c r="E22" s="36"/>
      <c r="F22" s="36"/>
      <c r="G22" s="36"/>
      <c r="H22" s="36"/>
    </row>
    <row r="23" spans="1:8" ht="30" hidden="1" outlineLevel="1" x14ac:dyDescent="0.25">
      <c r="A23" s="10" t="s">
        <v>13</v>
      </c>
      <c r="B23" s="35"/>
      <c r="C23" s="35">
        <v>16.7</v>
      </c>
      <c r="D23" s="35">
        <v>16.7</v>
      </c>
      <c r="E23" s="35">
        <v>16.100000000000001</v>
      </c>
      <c r="F23" s="35">
        <v>10.4</v>
      </c>
      <c r="G23" s="35">
        <v>10.199999999999999</v>
      </c>
      <c r="H23" s="35"/>
    </row>
    <row r="24" spans="1:8" hidden="1" outlineLevel="1" x14ac:dyDescent="0.25">
      <c r="A24" s="10" t="s">
        <v>14</v>
      </c>
      <c r="B24" s="35"/>
      <c r="C24" s="35">
        <v>46.6</v>
      </c>
      <c r="D24" s="35">
        <v>55</v>
      </c>
      <c r="E24" s="35">
        <v>23.5</v>
      </c>
      <c r="F24" s="35">
        <v>30</v>
      </c>
      <c r="G24" s="35">
        <v>37.9</v>
      </c>
      <c r="H24" s="35"/>
    </row>
    <row r="25" spans="1:8" hidden="1" outlineLevel="1" x14ac:dyDescent="0.25">
      <c r="A25" s="6" t="s">
        <v>15</v>
      </c>
      <c r="B25" s="33"/>
      <c r="C25" s="33">
        <v>-91.9</v>
      </c>
      <c r="D25" s="33">
        <v>-92.4</v>
      </c>
      <c r="E25" s="33">
        <v>-100.9</v>
      </c>
      <c r="F25" s="33">
        <v>-102.3</v>
      </c>
      <c r="G25" s="33">
        <v>-105.3</v>
      </c>
      <c r="H25" s="33"/>
    </row>
    <row r="26" spans="1:8" hidden="1" outlineLevel="1" x14ac:dyDescent="0.25">
      <c r="A26" s="6" t="s">
        <v>54</v>
      </c>
      <c r="B26" s="33"/>
      <c r="C26" s="33">
        <f t="shared" ref="C26:G26" si="6">SUM(C23:C25)</f>
        <v>-28.600000000000009</v>
      </c>
      <c r="D26" s="33">
        <f t="shared" si="6"/>
        <v>-20.700000000000003</v>
      </c>
      <c r="E26" s="33">
        <f t="shared" si="6"/>
        <v>-61.300000000000004</v>
      </c>
      <c r="F26" s="33">
        <f t="shared" si="6"/>
        <v>-61.9</v>
      </c>
      <c r="G26" s="33">
        <f t="shared" si="6"/>
        <v>-57.2</v>
      </c>
      <c r="H26" s="33"/>
    </row>
    <row r="27" spans="1:8" hidden="1" outlineLevel="1" x14ac:dyDescent="0.25">
      <c r="A27" s="9" t="s">
        <v>16</v>
      </c>
      <c r="B27" s="36"/>
      <c r="C27" s="36">
        <f t="shared" ref="C27:G27" si="7">SUM(C21:C25)</f>
        <v>948.60000000000025</v>
      </c>
      <c r="D27" s="36">
        <f t="shared" si="7"/>
        <v>716.80000000000041</v>
      </c>
      <c r="E27" s="36">
        <f t="shared" si="7"/>
        <v>851.7</v>
      </c>
      <c r="F27" s="36">
        <f t="shared" si="7"/>
        <v>895.1</v>
      </c>
      <c r="G27" s="36">
        <f t="shared" si="7"/>
        <v>883.80000000000007</v>
      </c>
      <c r="H27" s="36"/>
    </row>
    <row r="28" spans="1:8" ht="3.75" customHeight="1" collapsed="1" x14ac:dyDescent="0.25">
      <c r="A28" s="30"/>
      <c r="B28" s="37"/>
      <c r="C28" s="37"/>
      <c r="D28" s="37"/>
      <c r="E28" s="37"/>
      <c r="F28" s="37"/>
      <c r="G28" s="37"/>
      <c r="H28" s="37"/>
    </row>
    <row r="29" spans="1:8" hidden="1" outlineLevel="1" x14ac:dyDescent="0.25">
      <c r="A29" s="6" t="s">
        <v>17</v>
      </c>
      <c r="B29" s="33"/>
      <c r="C29" s="33">
        <v>-200.9</v>
      </c>
      <c r="D29" s="33">
        <v>-51.3</v>
      </c>
      <c r="E29" s="33">
        <v>-140.1</v>
      </c>
      <c r="F29" s="33">
        <v>-213.4</v>
      </c>
      <c r="G29" s="33">
        <v>-216.3</v>
      </c>
      <c r="H29" s="33"/>
    </row>
    <row r="30" spans="1:8" collapsed="1" x14ac:dyDescent="0.25">
      <c r="A30" s="9" t="s">
        <v>18</v>
      </c>
      <c r="B30" s="36"/>
      <c r="C30" s="36">
        <f t="shared" ref="C30" si="8">SUM(C27:C29)</f>
        <v>747.70000000000027</v>
      </c>
      <c r="D30" s="36">
        <f t="shared" ref="D30" si="9">SUM(D27:D29)</f>
        <v>665.50000000000045</v>
      </c>
      <c r="E30" s="36">
        <f>SUM(E27:E29)</f>
        <v>711.6</v>
      </c>
      <c r="F30" s="36">
        <f t="shared" ref="F30:G30" si="10">SUM(F27:F29)</f>
        <v>681.7</v>
      </c>
      <c r="G30" s="36">
        <f t="shared" si="10"/>
        <v>667.5</v>
      </c>
      <c r="H30" s="36"/>
    </row>
    <row r="32" spans="1:8" ht="14.45" customHeight="1" x14ac:dyDescent="0.25">
      <c r="A32" s="6"/>
      <c r="B32" s="11"/>
      <c r="C32" s="11"/>
      <c r="D32" s="68" t="s">
        <v>19</v>
      </c>
      <c r="E32" s="68"/>
      <c r="F32" s="68"/>
    </row>
    <row r="33" spans="1:8" ht="30" customHeight="1" x14ac:dyDescent="0.25">
      <c r="A33" s="21" t="s">
        <v>20</v>
      </c>
      <c r="B33" s="48"/>
      <c r="C33" s="48">
        <v>2019</v>
      </c>
      <c r="D33" s="48">
        <v>2018</v>
      </c>
      <c r="E33" s="48">
        <v>2017</v>
      </c>
      <c r="F33" s="48">
        <v>2016</v>
      </c>
      <c r="G33" s="48">
        <v>2015</v>
      </c>
      <c r="H33" s="20">
        <v>2014</v>
      </c>
    </row>
    <row r="34" spans="1:8" x14ac:dyDescent="0.25">
      <c r="B34" s="12"/>
      <c r="C34" s="56"/>
      <c r="D34" s="56"/>
      <c r="E34" s="51" t="s">
        <v>2</v>
      </c>
      <c r="F34" s="52"/>
    </row>
    <row r="35" spans="1:8" x14ac:dyDescent="0.25">
      <c r="B35" s="66"/>
      <c r="C35" s="66"/>
      <c r="D35" s="66"/>
      <c r="E35" s="66"/>
      <c r="F35" s="66"/>
      <c r="G35" s="66"/>
      <c r="H35" s="66"/>
    </row>
    <row r="36" spans="1:8" x14ac:dyDescent="0.25">
      <c r="A36" s="29" t="s">
        <v>21</v>
      </c>
    </row>
    <row r="37" spans="1:8" hidden="1" outlineLevel="1" x14ac:dyDescent="0.25">
      <c r="A37" s="7" t="s">
        <v>22</v>
      </c>
    </row>
    <row r="38" spans="1:8" hidden="1" outlineLevel="2" x14ac:dyDescent="0.25">
      <c r="A38" s="1" t="s">
        <v>23</v>
      </c>
      <c r="B38" s="25"/>
      <c r="C38" s="25">
        <v>4629.8</v>
      </c>
      <c r="D38" s="25">
        <v>4561.8</v>
      </c>
      <c r="E38" s="25">
        <v>4255.8</v>
      </c>
      <c r="F38" s="25">
        <v>4592</v>
      </c>
      <c r="G38" s="25">
        <v>4504.2</v>
      </c>
      <c r="H38" s="25">
        <v>4205.3</v>
      </c>
    </row>
    <row r="39" spans="1:8" hidden="1" outlineLevel="2" x14ac:dyDescent="0.25">
      <c r="A39" s="1" t="s">
        <v>24</v>
      </c>
      <c r="B39" s="25"/>
      <c r="C39" s="25">
        <v>2840.2</v>
      </c>
      <c r="D39" s="25">
        <v>2922.6</v>
      </c>
      <c r="E39" s="25">
        <v>3013.9</v>
      </c>
      <c r="F39" s="25">
        <v>3259.5</v>
      </c>
      <c r="G39" s="25">
        <v>3331.5</v>
      </c>
      <c r="H39" s="25">
        <v>3352.1</v>
      </c>
    </row>
    <row r="40" spans="1:8" hidden="1" outlineLevel="2" x14ac:dyDescent="0.25">
      <c r="A40" s="6" t="s">
        <v>25</v>
      </c>
      <c r="B40" s="33"/>
      <c r="C40" s="33">
        <f>45.7+281.1</f>
        <v>326.8</v>
      </c>
      <c r="D40" s="33">
        <f>308.8+75.9</f>
        <v>384.70000000000005</v>
      </c>
      <c r="E40" s="33">
        <f>99.4+181.9</f>
        <v>281.3</v>
      </c>
      <c r="F40" s="33">
        <f>85.5+204.5</f>
        <v>290</v>
      </c>
      <c r="G40" s="33">
        <f>69.5+230.7</f>
        <v>300.2</v>
      </c>
      <c r="H40" s="33">
        <v>332.7</v>
      </c>
    </row>
    <row r="41" spans="1:8" hidden="1" outlineLevel="2" x14ac:dyDescent="0.25">
      <c r="A41" s="40" t="s">
        <v>26</v>
      </c>
      <c r="B41" s="41"/>
      <c r="C41" s="41">
        <f t="shared" ref="C41" si="11">SUM(C38:C40)</f>
        <v>7796.8</v>
      </c>
      <c r="D41" s="41">
        <f t="shared" ref="D41" si="12">SUM(D38:D40)</f>
        <v>7869.0999999999995</v>
      </c>
      <c r="E41" s="41">
        <f t="shared" ref="E41:H41" si="13">SUM(E38:E40)</f>
        <v>7551.0000000000009</v>
      </c>
      <c r="F41" s="41">
        <f t="shared" si="13"/>
        <v>8141.5</v>
      </c>
      <c r="G41" s="41">
        <f t="shared" si="13"/>
        <v>8135.9</v>
      </c>
      <c r="H41" s="41">
        <f t="shared" si="13"/>
        <v>7890.0999999999995</v>
      </c>
    </row>
    <row r="42" spans="1:8" ht="3.75" hidden="1" customHeight="1" outlineLevel="2" x14ac:dyDescent="0.25">
      <c r="A42" s="40"/>
      <c r="B42" s="41"/>
      <c r="C42" s="41"/>
      <c r="D42" s="41"/>
      <c r="E42" s="41"/>
      <c r="F42" s="41"/>
      <c r="G42" s="41"/>
      <c r="H42" s="41"/>
    </row>
    <row r="43" spans="1:8" hidden="1" outlineLevel="2" x14ac:dyDescent="0.25">
      <c r="A43" s="42" t="s">
        <v>27</v>
      </c>
      <c r="B43" s="41"/>
      <c r="C43" s="41"/>
      <c r="D43" s="41"/>
      <c r="E43" s="41"/>
      <c r="F43" s="41"/>
      <c r="G43" s="41"/>
      <c r="H43" s="41"/>
    </row>
    <row r="44" spans="1:8" hidden="1" outlineLevel="2" x14ac:dyDescent="0.25">
      <c r="A44" s="40" t="s">
        <v>28</v>
      </c>
      <c r="B44" s="41"/>
      <c r="C44" s="41">
        <v>539</v>
      </c>
      <c r="D44" s="41">
        <v>601.29999999999995</v>
      </c>
      <c r="E44" s="41">
        <v>585.79999999999995</v>
      </c>
      <c r="F44" s="41">
        <v>622.1</v>
      </c>
      <c r="G44" s="41">
        <v>672</v>
      </c>
      <c r="H44" s="41">
        <v>678.6</v>
      </c>
    </row>
    <row r="45" spans="1:8" hidden="1" outlineLevel="2" x14ac:dyDescent="0.25">
      <c r="A45" s="40" t="s">
        <v>29</v>
      </c>
      <c r="B45" s="41"/>
      <c r="C45" s="41">
        <v>381.2</v>
      </c>
      <c r="D45" s="41">
        <v>458.1</v>
      </c>
      <c r="E45" s="41">
        <v>484</v>
      </c>
      <c r="F45" s="41">
        <v>555.6</v>
      </c>
      <c r="G45" s="41">
        <v>356.6</v>
      </c>
      <c r="H45" s="41">
        <v>339.1</v>
      </c>
    </row>
    <row r="46" spans="1:8" ht="30" hidden="1" outlineLevel="2" x14ac:dyDescent="0.25">
      <c r="A46" s="43" t="s">
        <v>30</v>
      </c>
      <c r="B46" s="44"/>
      <c r="C46" s="44">
        <f>77.9+43+57.1+225.5</f>
        <v>403.5</v>
      </c>
      <c r="D46" s="44">
        <f>78.5+39.6+42</f>
        <v>160.1</v>
      </c>
      <c r="E46" s="44">
        <f>77.1+40.3+30.1</f>
        <v>147.5</v>
      </c>
      <c r="F46" s="44">
        <f>83.5+46.7+48.5</f>
        <v>178.7</v>
      </c>
      <c r="G46" s="44">
        <f>92.2+46.7+152.3</f>
        <v>291.20000000000005</v>
      </c>
      <c r="H46" s="44">
        <v>185.2</v>
      </c>
    </row>
    <row r="47" spans="1:8" ht="30" hidden="1" outlineLevel="2" x14ac:dyDescent="0.25">
      <c r="A47" s="40" t="s">
        <v>31</v>
      </c>
      <c r="B47" s="41"/>
      <c r="C47" s="41">
        <f t="shared" ref="C47" si="14">SUM(C44:C46)</f>
        <v>1323.7</v>
      </c>
      <c r="D47" s="41">
        <f t="shared" ref="D47" si="15">SUM(D44:D46)</f>
        <v>1219.5</v>
      </c>
      <c r="E47" s="41">
        <f t="shared" ref="E47:H47" si="16">SUM(E44:E46)</f>
        <v>1217.3</v>
      </c>
      <c r="F47" s="41">
        <f t="shared" si="16"/>
        <v>1356.4</v>
      </c>
      <c r="G47" s="41">
        <f t="shared" si="16"/>
        <v>1319.8</v>
      </c>
      <c r="H47" s="41">
        <f t="shared" si="16"/>
        <v>1202.9000000000001</v>
      </c>
    </row>
    <row r="48" spans="1:8" ht="3.75" hidden="1" customHeight="1" outlineLevel="2" x14ac:dyDescent="0.25">
      <c r="B48" s="25"/>
      <c r="C48" s="25"/>
      <c r="D48" s="25"/>
      <c r="E48" s="25"/>
      <c r="F48" s="25"/>
      <c r="G48" s="25"/>
      <c r="H48" s="25"/>
    </row>
    <row r="49" spans="1:8" hidden="1" outlineLevel="2" x14ac:dyDescent="0.25">
      <c r="A49" s="7" t="s">
        <v>32</v>
      </c>
      <c r="B49" s="25"/>
      <c r="C49" s="25"/>
      <c r="D49" s="25"/>
      <c r="E49" s="25"/>
      <c r="F49" s="25"/>
      <c r="G49" s="25"/>
      <c r="H49" s="25"/>
    </row>
    <row r="50" spans="1:8" hidden="1" outlineLevel="2" x14ac:dyDescent="0.25">
      <c r="A50" s="1" t="s">
        <v>33</v>
      </c>
      <c r="B50" s="25"/>
      <c r="C50" s="25">
        <f>155.9+136.3+1.7</f>
        <v>293.90000000000003</v>
      </c>
      <c r="D50" s="25">
        <f>143.7+120.2+22.3</f>
        <v>286.2</v>
      </c>
      <c r="E50" s="25">
        <f>127.7+96+20.6</f>
        <v>244.29999999999998</v>
      </c>
      <c r="F50" s="25">
        <v>271.8</v>
      </c>
      <c r="G50" s="25">
        <v>262.10000000000002</v>
      </c>
      <c r="H50" s="25">
        <v>282.60000000000002</v>
      </c>
    </row>
    <row r="51" spans="1:8" ht="3.75" hidden="1" customHeight="1" outlineLevel="2" x14ac:dyDescent="0.25">
      <c r="B51" s="25"/>
      <c r="C51" s="25"/>
      <c r="D51" s="25"/>
      <c r="E51" s="25"/>
      <c r="F51" s="25"/>
      <c r="G51" s="25"/>
      <c r="H51" s="25"/>
    </row>
    <row r="52" spans="1:8" collapsed="1" x14ac:dyDescent="0.25">
      <c r="A52" s="27" t="s">
        <v>62</v>
      </c>
      <c r="B52" s="31"/>
      <c r="C52" s="31">
        <f t="shared" ref="C52:D52" si="17">C50+C47+C41</f>
        <v>9414.4</v>
      </c>
      <c r="D52" s="31">
        <f t="shared" si="17"/>
        <v>9374.7999999999993</v>
      </c>
      <c r="E52" s="31">
        <f t="shared" ref="E52:H52" si="18">E50+E47+E41</f>
        <v>9012.6</v>
      </c>
      <c r="F52" s="31">
        <f t="shared" si="18"/>
        <v>9769.7000000000007</v>
      </c>
      <c r="G52" s="31">
        <f t="shared" si="18"/>
        <v>9717.7999999999993</v>
      </c>
      <c r="H52" s="31">
        <f t="shared" si="18"/>
        <v>9375.5999999999985</v>
      </c>
    </row>
    <row r="53" spans="1:8" ht="3.75" hidden="1" customHeight="1" outlineLevel="1" x14ac:dyDescent="0.25">
      <c r="B53" s="25"/>
      <c r="C53" s="25"/>
      <c r="D53" s="25"/>
      <c r="E53" s="25"/>
      <c r="F53" s="25"/>
      <c r="G53" s="25"/>
      <c r="H53" s="25"/>
    </row>
    <row r="54" spans="1:8" hidden="1" outlineLevel="1" x14ac:dyDescent="0.25">
      <c r="A54" s="7" t="s">
        <v>34</v>
      </c>
      <c r="B54" s="25"/>
      <c r="C54" s="25"/>
      <c r="D54" s="25"/>
      <c r="E54" s="25"/>
      <c r="F54" s="25"/>
      <c r="G54" s="25"/>
      <c r="H54" s="25"/>
    </row>
    <row r="55" spans="1:8" hidden="1" outlineLevel="1" x14ac:dyDescent="0.25">
      <c r="A55" s="1" t="s">
        <v>35</v>
      </c>
      <c r="B55" s="25"/>
      <c r="C55" s="25">
        <v>2530</v>
      </c>
      <c r="D55" s="25">
        <v>2598.6999999999998</v>
      </c>
      <c r="E55" s="25">
        <v>2421</v>
      </c>
      <c r="F55" s="25">
        <v>2824.1</v>
      </c>
      <c r="G55" s="25">
        <v>2998.5</v>
      </c>
      <c r="H55" s="25">
        <v>3099.2</v>
      </c>
    </row>
    <row r="56" spans="1:8" hidden="1" outlineLevel="1" x14ac:dyDescent="0.25">
      <c r="A56" s="1" t="s">
        <v>36</v>
      </c>
      <c r="B56" s="25"/>
      <c r="C56" s="25">
        <v>800.6</v>
      </c>
      <c r="D56" s="25">
        <v>854.1</v>
      </c>
      <c r="E56" s="25">
        <v>712.8</v>
      </c>
      <c r="F56" s="25">
        <v>700.4</v>
      </c>
      <c r="G56" s="25">
        <v>828.8</v>
      </c>
      <c r="H56" s="25">
        <v>811.1</v>
      </c>
    </row>
    <row r="57" spans="1:8" hidden="1" outlineLevel="1" x14ac:dyDescent="0.25">
      <c r="A57" s="1" t="s">
        <v>37</v>
      </c>
      <c r="B57" s="25"/>
      <c r="C57" s="25">
        <f>93.6+82+53.9</f>
        <v>229.5</v>
      </c>
      <c r="D57" s="25">
        <f>76.7+121.2+66.8</f>
        <v>264.7</v>
      </c>
      <c r="E57" s="25">
        <f>78.7+76.9+83.2</f>
        <v>238.8</v>
      </c>
      <c r="F57" s="25">
        <f>116.9+210.4+71.8</f>
        <v>399.1</v>
      </c>
      <c r="G57" s="25">
        <f>0.8+100.8+226+62.4</f>
        <v>390</v>
      </c>
      <c r="H57" s="25">
        <v>295</v>
      </c>
    </row>
    <row r="58" spans="1:8" hidden="1" outlineLevel="1" x14ac:dyDescent="0.25">
      <c r="A58" s="1" t="s">
        <v>38</v>
      </c>
      <c r="B58" s="25"/>
      <c r="C58" s="25">
        <v>897.5</v>
      </c>
      <c r="D58" s="25">
        <v>310.8</v>
      </c>
      <c r="E58" s="25">
        <v>605.20000000000005</v>
      </c>
      <c r="F58" s="25">
        <v>570.29999999999995</v>
      </c>
      <c r="G58" s="25">
        <v>608.79999999999995</v>
      </c>
      <c r="H58" s="25">
        <v>581</v>
      </c>
    </row>
    <row r="59" spans="1:8" ht="3.75" hidden="1" customHeight="1" outlineLevel="1" x14ac:dyDescent="0.25">
      <c r="B59" s="25"/>
      <c r="C59" s="25"/>
      <c r="D59" s="25"/>
      <c r="E59" s="25"/>
      <c r="F59" s="25"/>
      <c r="G59" s="25"/>
      <c r="H59" s="25"/>
    </row>
    <row r="60" spans="1:8" collapsed="1" x14ac:dyDescent="0.25">
      <c r="A60" s="27" t="s">
        <v>34</v>
      </c>
      <c r="B60" s="31"/>
      <c r="C60" s="31">
        <f t="shared" ref="C60:D60" si="19">SUM(C55:C58)</f>
        <v>4457.6000000000004</v>
      </c>
      <c r="D60" s="31">
        <f t="shared" si="19"/>
        <v>4028.2999999999997</v>
      </c>
      <c r="E60" s="31">
        <f t="shared" ref="E60:H60" si="20">SUM(E55:E58)</f>
        <v>3977.8</v>
      </c>
      <c r="F60" s="31">
        <f t="shared" si="20"/>
        <v>4493.8999999999996</v>
      </c>
      <c r="G60" s="31">
        <f t="shared" si="20"/>
        <v>4826.1000000000004</v>
      </c>
      <c r="H60" s="31">
        <f t="shared" si="20"/>
        <v>4786.2999999999993</v>
      </c>
    </row>
    <row r="61" spans="1:8" ht="2.25" customHeight="1" x14ac:dyDescent="0.25">
      <c r="A61" s="6"/>
      <c r="B61" s="33"/>
      <c r="C61" s="33"/>
      <c r="D61" s="33"/>
      <c r="E61" s="33"/>
      <c r="F61" s="33"/>
      <c r="G61" s="33"/>
      <c r="H61" s="33"/>
    </row>
    <row r="62" spans="1:8" x14ac:dyDescent="0.25">
      <c r="A62" s="7" t="s">
        <v>39</v>
      </c>
      <c r="B62" s="36"/>
      <c r="C62" s="32">
        <f t="shared" ref="C62:D62" si="21">C60+C52</f>
        <v>13872</v>
      </c>
      <c r="D62" s="32">
        <f t="shared" si="21"/>
        <v>13403.099999999999</v>
      </c>
      <c r="E62" s="32">
        <f t="shared" ref="E62:H62" si="22">E60+E52</f>
        <v>12990.400000000001</v>
      </c>
      <c r="F62" s="32">
        <f t="shared" si="22"/>
        <v>14263.6</v>
      </c>
      <c r="G62" s="32">
        <f t="shared" si="22"/>
        <v>14543.9</v>
      </c>
      <c r="H62" s="32">
        <f t="shared" si="22"/>
        <v>14161.899999999998</v>
      </c>
    </row>
    <row r="63" spans="1:8" ht="9" customHeight="1" x14ac:dyDescent="0.25">
      <c r="B63" s="25"/>
      <c r="C63" s="25"/>
      <c r="D63" s="25"/>
      <c r="E63" s="25"/>
      <c r="F63" s="25"/>
      <c r="G63" s="25"/>
      <c r="H63" s="25"/>
    </row>
    <row r="64" spans="1:8" x14ac:dyDescent="0.25">
      <c r="A64" s="29" t="s">
        <v>40</v>
      </c>
      <c r="B64" s="25"/>
      <c r="C64" s="25"/>
      <c r="D64" s="25"/>
      <c r="E64" s="25"/>
      <c r="F64" s="25"/>
      <c r="G64" s="25"/>
      <c r="H64" s="25"/>
    </row>
    <row r="65" spans="1:8" x14ac:dyDescent="0.25">
      <c r="A65" s="27" t="s">
        <v>63</v>
      </c>
      <c r="B65" s="31"/>
      <c r="C65" s="31">
        <v>9102.7000000000007</v>
      </c>
      <c r="D65" s="31">
        <v>8818.2000000000007</v>
      </c>
      <c r="E65" s="31">
        <v>8448.2000000000007</v>
      </c>
      <c r="F65" s="31">
        <v>9272.9</v>
      </c>
      <c r="G65" s="31">
        <v>8997.9</v>
      </c>
      <c r="H65" s="31">
        <v>9087</v>
      </c>
    </row>
    <row r="66" spans="1:8" ht="3.75" hidden="1" customHeight="1" outlineLevel="1" x14ac:dyDescent="0.25">
      <c r="A66" s="27"/>
      <c r="B66" s="31"/>
      <c r="C66" s="31"/>
      <c r="D66" s="31"/>
      <c r="E66" s="31"/>
      <c r="F66" s="31"/>
      <c r="G66" s="31"/>
      <c r="H66" s="31"/>
    </row>
    <row r="67" spans="1:8" hidden="1" outlineLevel="1" x14ac:dyDescent="0.25">
      <c r="A67" s="27" t="s">
        <v>41</v>
      </c>
      <c r="B67" s="31"/>
      <c r="C67" s="31"/>
      <c r="D67" s="31"/>
      <c r="E67" s="31"/>
      <c r="F67" s="31"/>
      <c r="G67" s="31"/>
      <c r="H67" s="31"/>
    </row>
    <row r="68" spans="1:8" hidden="1" outlineLevel="1" x14ac:dyDescent="0.25">
      <c r="A68" s="27" t="s">
        <v>42</v>
      </c>
      <c r="B68" s="31"/>
      <c r="C68" s="31">
        <v>2682.1</v>
      </c>
      <c r="D68" s="31">
        <v>2658.1</v>
      </c>
      <c r="E68" s="31">
        <v>2606.3000000000002</v>
      </c>
      <c r="F68" s="31">
        <v>2730.7</v>
      </c>
      <c r="G68" s="31">
        <v>3337.9</v>
      </c>
      <c r="H68" s="31">
        <v>2307.5</v>
      </c>
    </row>
    <row r="69" spans="1:8" hidden="1" outlineLevel="1" x14ac:dyDescent="0.25">
      <c r="A69" s="27" t="s">
        <v>43</v>
      </c>
      <c r="B69" s="31"/>
      <c r="C69" s="31">
        <v>516.70000000000005</v>
      </c>
      <c r="D69" s="31">
        <v>515.70000000000005</v>
      </c>
      <c r="E69" s="31">
        <v>571.5</v>
      </c>
      <c r="F69" s="31">
        <v>637.1</v>
      </c>
      <c r="G69" s="31">
        <v>735</v>
      </c>
      <c r="H69" s="31">
        <v>694.3</v>
      </c>
    </row>
    <row r="70" spans="1:8" hidden="1" outlineLevel="1" x14ac:dyDescent="0.25">
      <c r="A70" s="30" t="s">
        <v>44</v>
      </c>
      <c r="B70" s="37"/>
      <c r="C70" s="37">
        <f>281.7+18.5+159.8+31.4</f>
        <v>491.4</v>
      </c>
      <c r="D70" s="37">
        <f>240.8+33.7+27.4</f>
        <v>301.89999999999998</v>
      </c>
      <c r="E70" s="37">
        <f>237.8+33.7+22.4</f>
        <v>293.89999999999998</v>
      </c>
      <c r="F70" s="37">
        <f>263.8+36.3+64.8</f>
        <v>364.90000000000003</v>
      </c>
      <c r="G70" s="37">
        <f>241+41.7+37.1</f>
        <v>319.8</v>
      </c>
      <c r="H70" s="37">
        <v>319.3</v>
      </c>
    </row>
    <row r="71" spans="1:8" collapsed="1" x14ac:dyDescent="0.25">
      <c r="A71" s="27" t="s">
        <v>41</v>
      </c>
      <c r="B71" s="31"/>
      <c r="C71" s="31">
        <f t="shared" ref="C71:H71" si="23">SUM(C68:C70)</f>
        <v>3690.2000000000003</v>
      </c>
      <c r="D71" s="31">
        <f t="shared" si="23"/>
        <v>3475.7000000000003</v>
      </c>
      <c r="E71" s="31">
        <f t="shared" si="23"/>
        <v>3471.7000000000003</v>
      </c>
      <c r="F71" s="31">
        <f t="shared" si="23"/>
        <v>3732.7</v>
      </c>
      <c r="G71" s="31">
        <f t="shared" si="23"/>
        <v>4392.7</v>
      </c>
      <c r="H71" s="31">
        <f t="shared" si="23"/>
        <v>3321.1000000000004</v>
      </c>
    </row>
    <row r="72" spans="1:8" ht="3.75" hidden="1" customHeight="1" outlineLevel="1" x14ac:dyDescent="0.25">
      <c r="A72" s="27"/>
      <c r="B72" s="31"/>
      <c r="C72" s="31"/>
      <c r="D72" s="31"/>
      <c r="E72" s="31"/>
      <c r="F72" s="31"/>
      <c r="G72" s="31"/>
      <c r="H72" s="31"/>
    </row>
    <row r="73" spans="1:8" hidden="1" outlineLevel="1" x14ac:dyDescent="0.25">
      <c r="A73" s="27" t="s">
        <v>45</v>
      </c>
      <c r="B73" s="31"/>
      <c r="C73" s="31"/>
      <c r="D73" s="31"/>
      <c r="E73" s="31"/>
      <c r="F73" s="31"/>
      <c r="G73" s="31"/>
      <c r="H73" s="31"/>
    </row>
    <row r="74" spans="1:8" hidden="1" outlineLevel="1" x14ac:dyDescent="0.25">
      <c r="A74" s="27" t="s">
        <v>42</v>
      </c>
      <c r="B74" s="31"/>
      <c r="C74" s="31">
        <v>0</v>
      </c>
      <c r="D74" s="31">
        <v>0</v>
      </c>
      <c r="E74" s="31">
        <v>0</v>
      </c>
      <c r="F74" s="31">
        <v>0</v>
      </c>
      <c r="G74" s="31">
        <v>0</v>
      </c>
      <c r="H74" s="31">
        <v>650.79999999999995</v>
      </c>
    </row>
    <row r="75" spans="1:8" hidden="1" outlineLevel="1" x14ac:dyDescent="0.25">
      <c r="A75" s="27" t="s">
        <v>46</v>
      </c>
      <c r="B75" s="31"/>
      <c r="C75" s="31">
        <v>334</v>
      </c>
      <c r="D75" s="31">
        <v>377.1</v>
      </c>
      <c r="E75" s="31">
        <v>365.4</v>
      </c>
      <c r="F75" s="31">
        <v>385.5</v>
      </c>
      <c r="G75" s="31">
        <v>385.9</v>
      </c>
      <c r="H75" s="31">
        <v>375.9</v>
      </c>
    </row>
    <row r="76" spans="1:8" hidden="1" outlineLevel="1" x14ac:dyDescent="0.25">
      <c r="A76" s="30" t="s">
        <v>47</v>
      </c>
      <c r="B76" s="37"/>
      <c r="C76" s="37">
        <f>121.5+38.4+67+518.2</f>
        <v>745.1</v>
      </c>
      <c r="D76" s="37">
        <f>132.4+104.1+495.6</f>
        <v>732.1</v>
      </c>
      <c r="E76" s="37">
        <f>170.5+27.4+507.2</f>
        <v>705.1</v>
      </c>
      <c r="F76" s="37">
        <f>183+113.9+575.7</f>
        <v>872.6</v>
      </c>
      <c r="G76" s="37">
        <f>79.5+21.1+666.8</f>
        <v>767.4</v>
      </c>
      <c r="H76" s="37">
        <v>727.1</v>
      </c>
    </row>
    <row r="77" spans="1:8" collapsed="1" x14ac:dyDescent="0.25">
      <c r="A77" s="27" t="s">
        <v>45</v>
      </c>
      <c r="B77" s="31"/>
      <c r="C77" s="31">
        <f t="shared" ref="C77:F77" si="24">SUM(C74:C76)</f>
        <v>1079.0999999999999</v>
      </c>
      <c r="D77" s="31">
        <f t="shared" si="24"/>
        <v>1109.2</v>
      </c>
      <c r="E77" s="31">
        <f t="shared" si="24"/>
        <v>1070.5</v>
      </c>
      <c r="F77" s="31">
        <f t="shared" si="24"/>
        <v>1258.0999999999999</v>
      </c>
      <c r="G77" s="31">
        <f t="shared" ref="G77:H77" si="25">SUM(G74:G76)</f>
        <v>1153.3</v>
      </c>
      <c r="H77" s="31">
        <f t="shared" si="25"/>
        <v>1753.7999999999997</v>
      </c>
    </row>
    <row r="78" spans="1:8" ht="3.75" hidden="1" customHeight="1" outlineLevel="1" x14ac:dyDescent="0.25">
      <c r="A78" s="28"/>
      <c r="B78" s="34"/>
      <c r="C78" s="34"/>
      <c r="D78" s="34"/>
      <c r="E78" s="34"/>
      <c r="F78" s="34"/>
      <c r="G78" s="34"/>
      <c r="H78" s="34"/>
    </row>
    <row r="79" spans="1:8" collapsed="1" x14ac:dyDescent="0.25">
      <c r="A79" s="7" t="s">
        <v>48</v>
      </c>
      <c r="B79" s="32"/>
      <c r="C79" s="32">
        <f t="shared" ref="C79:H79" si="26">C77+C71</f>
        <v>4769.3</v>
      </c>
      <c r="D79" s="32">
        <f t="shared" si="26"/>
        <v>4584.9000000000005</v>
      </c>
      <c r="E79" s="32">
        <f t="shared" si="26"/>
        <v>4542.2000000000007</v>
      </c>
      <c r="F79" s="32">
        <f t="shared" si="26"/>
        <v>4990.7999999999993</v>
      </c>
      <c r="G79" s="32">
        <f t="shared" si="26"/>
        <v>5546</v>
      </c>
      <c r="H79" s="32">
        <f t="shared" si="26"/>
        <v>5074.8999999999996</v>
      </c>
    </row>
    <row r="80" spans="1:8" ht="3.75" customHeight="1" x14ac:dyDescent="0.25">
      <c r="A80" s="6"/>
      <c r="B80" s="33"/>
      <c r="C80" s="33"/>
      <c r="D80" s="33"/>
      <c r="E80" s="33"/>
      <c r="F80" s="33"/>
      <c r="G80" s="33"/>
      <c r="H80" s="33"/>
    </row>
    <row r="81" spans="1:8" x14ac:dyDescent="0.25">
      <c r="A81" s="7" t="s">
        <v>49</v>
      </c>
      <c r="B81" s="32"/>
      <c r="C81" s="32">
        <f t="shared" ref="C81:H81" si="27">C79+C65</f>
        <v>13872</v>
      </c>
      <c r="D81" s="32">
        <f t="shared" si="27"/>
        <v>13403.100000000002</v>
      </c>
      <c r="E81" s="32">
        <f t="shared" si="27"/>
        <v>12990.400000000001</v>
      </c>
      <c r="F81" s="32">
        <f t="shared" si="27"/>
        <v>14263.699999999999</v>
      </c>
      <c r="G81" s="32">
        <f t="shared" si="27"/>
        <v>14543.9</v>
      </c>
      <c r="H81" s="32">
        <f t="shared" si="27"/>
        <v>14161.9</v>
      </c>
    </row>
    <row r="83" spans="1:8" ht="15" customHeight="1" x14ac:dyDescent="0.25">
      <c r="A83" s="6"/>
      <c r="B83" s="2"/>
      <c r="C83" s="2"/>
      <c r="D83" s="63" t="s">
        <v>0</v>
      </c>
      <c r="E83" s="63"/>
      <c r="F83" s="63"/>
      <c r="G83" s="59"/>
      <c r="H83" s="59"/>
    </row>
    <row r="84" spans="1:8" ht="30" x14ac:dyDescent="0.25">
      <c r="A84" s="21" t="s">
        <v>50</v>
      </c>
      <c r="B84" s="48"/>
      <c r="C84" s="48">
        <v>2019</v>
      </c>
      <c r="D84" s="48">
        <v>2018</v>
      </c>
      <c r="E84" s="48">
        <v>2017</v>
      </c>
      <c r="F84" s="48">
        <v>2016</v>
      </c>
      <c r="G84" s="22">
        <v>2015</v>
      </c>
      <c r="H84" s="22">
        <v>2014</v>
      </c>
    </row>
    <row r="85" spans="1:8" x14ac:dyDescent="0.25">
      <c r="A85" s="3"/>
      <c r="B85" s="4"/>
      <c r="C85" s="55"/>
      <c r="D85" s="55"/>
      <c r="E85" s="51" t="s">
        <v>2</v>
      </c>
      <c r="F85" s="52"/>
    </row>
    <row r="86" spans="1:8" x14ac:dyDescent="0.25">
      <c r="B86" s="65"/>
      <c r="C86" s="65"/>
      <c r="D86" s="65"/>
      <c r="E86" s="65"/>
      <c r="F86" s="65"/>
      <c r="G86" s="65"/>
      <c r="H86" s="65"/>
    </row>
    <row r="87" spans="1:8" ht="10.5" customHeight="1" x14ac:dyDescent="0.25">
      <c r="B87" s="4"/>
      <c r="C87" s="55"/>
      <c r="D87" s="55"/>
      <c r="E87" s="54"/>
      <c r="F87" s="52"/>
      <c r="G87" s="45"/>
      <c r="H87" s="4"/>
    </row>
    <row r="88" spans="1:8" x14ac:dyDescent="0.25">
      <c r="A88" s="1" t="s">
        <v>69</v>
      </c>
      <c r="B88" s="25"/>
      <c r="C88" s="25">
        <v>1299.5999999999999</v>
      </c>
      <c r="D88" s="25">
        <v>784.5</v>
      </c>
      <c r="E88" s="25">
        <v>1048.4999999999998</v>
      </c>
      <c r="F88" s="25">
        <v>1357.8000000000002</v>
      </c>
      <c r="G88" s="25">
        <v>1285.4000000000001</v>
      </c>
      <c r="H88" s="25">
        <v>1056</v>
      </c>
    </row>
    <row r="89" spans="1:8" x14ac:dyDescent="0.25">
      <c r="A89" s="6" t="s">
        <v>76</v>
      </c>
      <c r="B89" s="33"/>
      <c r="C89" s="33">
        <v>-49.9</v>
      </c>
      <c r="D89" s="33">
        <v>-510.6</v>
      </c>
      <c r="E89" s="33">
        <v>-93.7</v>
      </c>
      <c r="F89" s="33">
        <v>-218.6</v>
      </c>
      <c r="G89" s="33">
        <v>-228.8</v>
      </c>
      <c r="H89" s="33">
        <v>-471.2</v>
      </c>
    </row>
    <row r="90" spans="1:8" s="60" customFormat="1" x14ac:dyDescent="0.25">
      <c r="A90" s="27" t="s">
        <v>70</v>
      </c>
      <c r="B90" s="31"/>
      <c r="C90" s="31">
        <f>SUM(C88:C89)</f>
        <v>1249.6999999999998</v>
      </c>
      <c r="D90" s="31">
        <f>SUM(D88:D89)</f>
        <v>273.89999999999998</v>
      </c>
      <c r="E90" s="31">
        <f t="shared" ref="E90:H90" si="28">SUM(E88:E89)</f>
        <v>954.79999999999973</v>
      </c>
      <c r="F90" s="31">
        <f t="shared" si="28"/>
        <v>1139.2000000000003</v>
      </c>
      <c r="G90" s="31">
        <f t="shared" si="28"/>
        <v>1056.6000000000001</v>
      </c>
      <c r="H90" s="32">
        <f t="shared" si="28"/>
        <v>584.79999999999995</v>
      </c>
    </row>
    <row r="91" spans="1:8" x14ac:dyDescent="0.25">
      <c r="A91" s="6" t="s">
        <v>77</v>
      </c>
      <c r="B91" s="33"/>
      <c r="C91" s="33">
        <v>-672.5</v>
      </c>
      <c r="D91" s="33">
        <v>-572.9</v>
      </c>
      <c r="E91" s="33">
        <v>-896.7</v>
      </c>
      <c r="F91" s="33">
        <v>-1177.7</v>
      </c>
      <c r="G91" s="33">
        <v>-1028.7999999999997</v>
      </c>
      <c r="H91" s="33">
        <v>-468.2</v>
      </c>
    </row>
    <row r="92" spans="1:8" x14ac:dyDescent="0.25">
      <c r="A92" s="7" t="s">
        <v>75</v>
      </c>
      <c r="B92" s="32"/>
      <c r="C92" s="32">
        <v>1187</v>
      </c>
      <c r="D92" s="32">
        <v>668</v>
      </c>
      <c r="E92" s="32">
        <v>963</v>
      </c>
      <c r="F92" s="32">
        <v>1139</v>
      </c>
      <c r="G92" s="32">
        <v>1057</v>
      </c>
      <c r="H92" s="32"/>
    </row>
    <row r="93" spans="1:8" x14ac:dyDescent="0.25">
      <c r="A93" s="10"/>
      <c r="B93" s="47"/>
      <c r="C93" s="47"/>
      <c r="D93" s="47"/>
      <c r="E93" s="47"/>
      <c r="F93" s="47"/>
      <c r="G93" s="47"/>
      <c r="H93" s="47"/>
    </row>
    <row r="94" spans="1:8" x14ac:dyDescent="0.25">
      <c r="A94" s="17"/>
      <c r="B94" s="14"/>
      <c r="C94" s="14"/>
      <c r="D94" s="14"/>
      <c r="E94" s="14"/>
      <c r="F94" s="14"/>
      <c r="G94" s="14"/>
      <c r="H94" s="14"/>
    </row>
    <row r="95" spans="1:8" s="23" customFormat="1" ht="30" customHeight="1" x14ac:dyDescent="0.25">
      <c r="A95" s="49" t="s">
        <v>64</v>
      </c>
      <c r="B95" s="48"/>
      <c r="C95" s="48">
        <v>2019</v>
      </c>
      <c r="D95" s="48">
        <v>2018</v>
      </c>
      <c r="E95" s="48">
        <v>2017</v>
      </c>
      <c r="F95" s="48">
        <v>2016</v>
      </c>
      <c r="G95" s="48">
        <v>2015</v>
      </c>
      <c r="H95" s="48">
        <v>2014</v>
      </c>
    </row>
    <row r="96" spans="1:8" x14ac:dyDescent="0.25">
      <c r="A96" s="17"/>
      <c r="B96" s="67"/>
      <c r="C96" s="67"/>
      <c r="D96" s="67"/>
      <c r="E96" s="67"/>
      <c r="F96" s="67"/>
      <c r="G96" s="67"/>
      <c r="H96" s="67"/>
    </row>
    <row r="97" spans="1:8" ht="3.75" customHeight="1" x14ac:dyDescent="0.25">
      <c r="A97" s="17"/>
      <c r="B97" s="26"/>
      <c r="C97" s="57"/>
      <c r="D97" s="57"/>
      <c r="E97" s="53"/>
      <c r="F97" s="50"/>
      <c r="G97" s="46"/>
      <c r="H97" s="26"/>
    </row>
    <row r="98" spans="1:8" ht="17.25" x14ac:dyDescent="0.25">
      <c r="A98" s="38" t="s">
        <v>65</v>
      </c>
      <c r="B98" s="14"/>
      <c r="C98" s="16">
        <v>-2.5999999999999999E-2</v>
      </c>
      <c r="D98" s="16">
        <v>4.0000000000000001E-3</v>
      </c>
      <c r="E98" s="16">
        <v>-2.1999999999999999E-2</v>
      </c>
      <c r="F98" s="16">
        <v>4.0000000000000001E-3</v>
      </c>
      <c r="G98" s="16">
        <v>3.0000000000000001E-3</v>
      </c>
      <c r="H98" s="16"/>
    </row>
    <row r="99" spans="1:8" x14ac:dyDescent="0.25">
      <c r="A99" s="38" t="s">
        <v>60</v>
      </c>
      <c r="B99" s="39"/>
      <c r="C99" s="16">
        <f t="shared" ref="C99:D99" si="29">C6/D6-1</f>
        <v>2.2746557499069731E-2</v>
      </c>
      <c r="D99" s="16">
        <f t="shared" si="29"/>
        <v>3.9297594182718276E-2</v>
      </c>
      <c r="E99" s="16">
        <f>E6/F6-1</f>
        <v>-4.1819852941176516E-2</v>
      </c>
      <c r="F99" s="16">
        <f>F6/G6-1</f>
        <v>1.9755507033258901E-3</v>
      </c>
      <c r="G99" s="16">
        <f>G6/H6-1</f>
        <v>9.8971596474045187E-2</v>
      </c>
      <c r="H99" s="16"/>
    </row>
    <row r="100" spans="1:8" x14ac:dyDescent="0.25">
      <c r="A100" s="38" t="s">
        <v>57</v>
      </c>
      <c r="B100" s="16"/>
      <c r="C100" s="16">
        <f t="shared" ref="C100:D100" si="30">C9/C6</f>
        <v>0.48235157125598593</v>
      </c>
      <c r="D100" s="16">
        <f t="shared" si="30"/>
        <v>0.47925567547450693</v>
      </c>
      <c r="E100" s="16">
        <f t="shared" ref="E100:G100" si="31">E9/E6</f>
        <v>0.48492302931848075</v>
      </c>
      <c r="F100" s="16">
        <f t="shared" si="31"/>
        <v>0.49126838235294124</v>
      </c>
      <c r="G100" s="16">
        <f t="shared" si="31"/>
        <v>0.48745599572211579</v>
      </c>
      <c r="H100" s="16"/>
    </row>
    <row r="101" spans="1:8" x14ac:dyDescent="0.25">
      <c r="A101" s="38" t="s">
        <v>55</v>
      </c>
      <c r="B101" s="15"/>
      <c r="C101" s="15">
        <f t="shared" ref="C101:D101" si="32">C14/C6</f>
        <v>0.22022327991499643</v>
      </c>
      <c r="D101" s="15">
        <f t="shared" si="32"/>
        <v>0.19416449572013403</v>
      </c>
      <c r="E101" s="15">
        <f t="shared" ref="E101:G101" si="33">E14/E6</f>
        <v>0.19854567958536395</v>
      </c>
      <c r="F101" s="15">
        <f t="shared" si="33"/>
        <v>0.21351695920303604</v>
      </c>
      <c r="G101" s="15">
        <f t="shared" si="33"/>
        <v>0.20565037208680539</v>
      </c>
      <c r="H101" s="15"/>
    </row>
    <row r="102" spans="1:8" x14ac:dyDescent="0.25">
      <c r="A102" s="38" t="s">
        <v>56</v>
      </c>
      <c r="B102" s="15"/>
      <c r="C102" s="15">
        <f>C21/C6</f>
        <v>0.14223541912289131</v>
      </c>
      <c r="D102" s="15">
        <f t="shared" ref="D102" si="34">D21/D6</f>
        <v>0.10978786751023452</v>
      </c>
      <c r="E102" s="15">
        <f t="shared" ref="E102:G102" si="35">E21/E6</f>
        <v>0.14125473814496789</v>
      </c>
      <c r="F102" s="15">
        <f t="shared" si="35"/>
        <v>0.14187025616698293</v>
      </c>
      <c r="G102" s="15">
        <f t="shared" si="35"/>
        <v>0.13977392570146904</v>
      </c>
      <c r="H102" s="15"/>
    </row>
    <row r="103" spans="1:8" x14ac:dyDescent="0.25">
      <c r="A103" s="38" t="s">
        <v>58</v>
      </c>
      <c r="B103" s="16"/>
      <c r="C103" s="16">
        <f>C30/C6</f>
        <v>0.10883076430432445</v>
      </c>
      <c r="D103" s="16">
        <f t="shared" ref="D103" si="36">D30/D6</f>
        <v>9.9069594343133671E-2</v>
      </c>
      <c r="E103" s="16">
        <f t="shared" ref="E103:G103" si="37">E30/E6</f>
        <v>0.11009514968670225</v>
      </c>
      <c r="F103" s="16">
        <f t="shared" si="37"/>
        <v>0.10105846774193548</v>
      </c>
      <c r="G103" s="16">
        <f t="shared" si="37"/>
        <v>9.9148879283454394E-2</v>
      </c>
      <c r="H103" s="16"/>
    </row>
    <row r="104" spans="1:8" ht="6.75" customHeight="1" x14ac:dyDescent="0.25">
      <c r="A104" s="24"/>
      <c r="B104" s="16"/>
      <c r="C104" s="16"/>
      <c r="D104" s="16"/>
      <c r="E104" s="16"/>
      <c r="F104" s="16"/>
      <c r="G104" s="16"/>
      <c r="H104" s="16"/>
    </row>
    <row r="106" spans="1:8" ht="15" customHeight="1" x14ac:dyDescent="0.25">
      <c r="A106" s="1" t="s">
        <v>59</v>
      </c>
      <c r="B106" s="25"/>
      <c r="C106" s="25">
        <v>2330</v>
      </c>
      <c r="D106" s="25">
        <v>2585</v>
      </c>
      <c r="E106" s="25">
        <v>2247</v>
      </c>
      <c r="F106" s="25">
        <v>2469</v>
      </c>
      <c r="G106" s="25">
        <v>3011</v>
      </c>
      <c r="H106" s="25"/>
    </row>
    <row r="107" spans="1:8" x14ac:dyDescent="0.25">
      <c r="A107" s="1" t="s">
        <v>73</v>
      </c>
      <c r="C107" s="19">
        <f>C106/C14</f>
        <v>1.5399867812293457</v>
      </c>
      <c r="D107" s="19">
        <f t="shared" ref="D107:G107" si="38">D106/D14</f>
        <v>1.9819060032201175</v>
      </c>
      <c r="E107" s="19">
        <f t="shared" si="38"/>
        <v>1.750954570248578</v>
      </c>
      <c r="F107" s="19">
        <f>F106/F14</f>
        <v>1.7142262028744013</v>
      </c>
      <c r="G107" s="19">
        <f t="shared" si="38"/>
        <v>2.1747923438064283</v>
      </c>
      <c r="H107" s="19"/>
    </row>
    <row r="108" spans="1:8" x14ac:dyDescent="0.25">
      <c r="C108" s="19"/>
      <c r="D108" s="19"/>
      <c r="E108" s="19"/>
      <c r="F108" s="19"/>
      <c r="G108" s="19"/>
      <c r="H108" s="19"/>
    </row>
    <row r="109" spans="1:8" x14ac:dyDescent="0.25">
      <c r="A109" s="1" t="s">
        <v>72</v>
      </c>
      <c r="C109" s="5">
        <f>+C30/100</f>
        <v>7.477000000000003</v>
      </c>
      <c r="D109" s="5">
        <f t="shared" ref="D109:G109" si="39">+D30/100</f>
        <v>6.6550000000000047</v>
      </c>
      <c r="E109" s="5">
        <f t="shared" si="39"/>
        <v>7.1160000000000005</v>
      </c>
      <c r="F109" s="5">
        <f t="shared" si="39"/>
        <v>6.8170000000000002</v>
      </c>
      <c r="G109" s="5">
        <f t="shared" si="39"/>
        <v>6.6749999999999998</v>
      </c>
    </row>
    <row r="110" spans="1:8" ht="17.25" x14ac:dyDescent="0.25">
      <c r="A110" s="1" t="s">
        <v>71</v>
      </c>
      <c r="B110" s="25"/>
      <c r="C110" s="5">
        <v>6.1</v>
      </c>
      <c r="D110" s="5">
        <v>6</v>
      </c>
      <c r="E110" s="5">
        <v>9.25</v>
      </c>
      <c r="F110" s="5">
        <v>5.5</v>
      </c>
      <c r="G110" s="5">
        <v>14</v>
      </c>
    </row>
    <row r="111" spans="1:8" x14ac:dyDescent="0.25">
      <c r="A111" s="18" t="s">
        <v>61</v>
      </c>
      <c r="C111" s="62">
        <f>C110/C109</f>
        <v>0.81583522803263309</v>
      </c>
      <c r="D111" s="62">
        <f>D110/D109</f>
        <v>0.90157776108189269</v>
      </c>
      <c r="E111" s="62">
        <f>E110/E109</f>
        <v>1.2998875772906127</v>
      </c>
      <c r="F111" s="62">
        <f>F110/F109</f>
        <v>0.80680651312894236</v>
      </c>
      <c r="G111" s="62">
        <f>G110/G109</f>
        <v>2.0973782771535583</v>
      </c>
      <c r="H111" s="61"/>
    </row>
    <row r="112" spans="1:8" x14ac:dyDescent="0.25">
      <c r="H112" s="25"/>
    </row>
    <row r="113" spans="1:8" x14ac:dyDescent="0.25">
      <c r="A113" s="64" t="s">
        <v>66</v>
      </c>
      <c r="B113" s="64"/>
      <c r="C113" s="64"/>
      <c r="D113" s="64"/>
      <c r="E113" s="64"/>
      <c r="F113" s="64"/>
      <c r="G113" s="64"/>
      <c r="H113" s="64"/>
    </row>
    <row r="114" spans="1:8" ht="18.75" customHeight="1" x14ac:dyDescent="0.25">
      <c r="A114" s="64" t="s">
        <v>67</v>
      </c>
      <c r="B114" s="64"/>
      <c r="C114" s="64"/>
      <c r="D114" s="64"/>
      <c r="E114" s="64"/>
      <c r="F114" s="64"/>
      <c r="G114" s="64"/>
      <c r="H114" s="64"/>
    </row>
    <row r="115" spans="1:8" ht="30" hidden="1" x14ac:dyDescent="0.25">
      <c r="A115" s="1" t="s">
        <v>52</v>
      </c>
      <c r="H115" s="5">
        <v>464.3</v>
      </c>
    </row>
    <row r="116" spans="1:8" ht="15.75" hidden="1" thickBot="1" x14ac:dyDescent="0.3">
      <c r="A116" s="1" t="s">
        <v>51</v>
      </c>
      <c r="H116" s="13">
        <f>H92</f>
        <v>0</v>
      </c>
    </row>
    <row r="117" spans="1:8" ht="30" hidden="1" x14ac:dyDescent="0.25">
      <c r="A117" s="7" t="s">
        <v>53</v>
      </c>
      <c r="B117" s="8"/>
      <c r="C117" s="8"/>
      <c r="D117" s="8"/>
      <c r="E117" s="8"/>
      <c r="F117" s="8"/>
      <c r="G117" s="8"/>
      <c r="H117" s="8">
        <f>H116+H115</f>
        <v>464.3</v>
      </c>
    </row>
  </sheetData>
  <mergeCells count="9">
    <mergeCell ref="D1:F1"/>
    <mergeCell ref="D83:F83"/>
    <mergeCell ref="A114:H114"/>
    <mergeCell ref="B4:H4"/>
    <mergeCell ref="B86:H86"/>
    <mergeCell ref="B35:H35"/>
    <mergeCell ref="A113:H113"/>
    <mergeCell ref="B96:H96"/>
    <mergeCell ref="D32:F32"/>
  </mergeCells>
  <pageMargins left="0.7" right="0.7" top="0.75" bottom="0.75" header="0.3" footer="0.3"/>
  <pageSetup paperSize="9" scale="77" orientation="portrait" r:id="rId1"/>
  <ignoredErrors>
    <ignoredError sqref="E27:G2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2019</vt:lpstr>
      <vt:lpstr>Sheet2</vt:lpstr>
      <vt:lpstr>Sheet3</vt:lpstr>
    </vt:vector>
  </TitlesOfParts>
  <Company>Nordea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Ahrens, Viktor</dc:creator>
  <cp:lastModifiedBy>Torben Sand</cp:lastModifiedBy>
  <cp:lastPrinted>2020-06-09T12:00:25Z</cp:lastPrinted>
  <dcterms:created xsi:type="dcterms:W3CDTF">2016-01-06T18:48:43Z</dcterms:created>
  <dcterms:modified xsi:type="dcterms:W3CDTF">2020-06-09T12:08:55Z</dcterms:modified>
</cp:coreProperties>
</file>